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ba5cca31c43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ilot counts" sheetId="1" r:id="Rf9f8cbba950440bc"/>
    <x:sheet xmlns:r="http://schemas.openxmlformats.org/officeDocument/2006/relationships" name="Annual case" sheetId="2" r:id="Rd25333f8a8054716"/>
    <x:sheet xmlns:r="http://schemas.openxmlformats.org/officeDocument/2006/relationships" name="Sensitivity" sheetId="3" r:id="R68ee27f58f654c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#,##0"/>
    <x:numFmt numFmtId="201" formatCode="0.00%"/>
    <x:numFmt numFmtId="202" formatCode="0.0%"/>
    <x:numFmt numFmtId="203" formatCode="&quot;€&quot;#,##0"/>
    <x:numFmt numFmtId="204" formatCode="0.0"/>
    <x:numFmt numFmtId="205" formatCode="&quot;€&quot;#,##0;[Red]-&quot;€&quot;#,##0"/>
    <x:numFmt numFmtId="206" formatCode="0.00"/>
    <x:numFmt numFmtId="207" formatCode="0.00%;-0.00%"/>
  </x:numFmts>
  <x:fonts count="5">
    <x:font>
      <x:sz val="11"/>
      <x:name val="Carlito"/>
    </x:font>
    <x:font>
      <x:sz val="11"/>
      <x:color rgb="FF0F1011"/>
      <x:name val="Arial"/>
    </x:font>
    <x:font>
      <x:b/>
      <x:sz val="17"/>
      <x:color rgb="FF0F1011"/>
      <x:name val="Arial"/>
    </x:font>
    <x:font>
      <x:b/>
      <x:sz val="11"/>
      <x:color rgb="FFFFFFFF"/>
      <x:name val="Arial"/>
    </x:font>
    <x:font>
      <x:b/>
      <x:sz val="11"/>
      <x:color rgb="FF0F101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F1011"/>
      </x:patternFill>
    </x:fill>
    <x:fill>
      <x:patternFill patternType="solid">
        <x:fgColor rgb="FFFFF1CF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</x:border>
    <x:border>
      <x:left style="thin">
        <x:color rgb="FFFFFFFF"/>
      </x:left>
      <x:right style="thin">
        <x:color rgb="FFFFFFFF"/>
      </x:right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0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2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  <x:xf numFmtId="0" fontId="3" fillId="2" borderId="3" xfId="0" applyNumberFormat="1" applyFont="1" applyFill="1" applyBorder="1" applyAlignment="1">
      <x:alignment vertical="top" wrapText="1"/>
    </x:xf>
    <x:xf numFmtId="202" fontId="1" fillId="3" borderId="0" xfId="0" applyNumberFormat="1" applyFont="1" applyFill="1" applyBorder="1" applyAlignment="1">
      <x:alignment vertical="top" wrapText="1"/>
    </x:xf>
    <x:xf numFmtId="202" fontId="1" fillId="0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203" fontId="1" fillId="3" borderId="0" xfId="0" applyNumberFormat="1" applyFont="1" applyFill="1" applyBorder="1" applyAlignment="1">
      <x:alignment vertical="top" wrapText="1"/>
    </x:xf>
    <x:xf numFmtId="203" fontId="1" fillId="0" borderId="0" xfId="0" applyNumberFormat="1" applyFont="1" applyFill="1" applyBorder="1" applyAlignment="1">
      <x:alignment vertical="top" wrapText="1"/>
    </x:xf>
    <x:xf numFmtId="204" fontId="1" fillId="3" borderId="0" xfId="0" applyNumberFormat="1" applyFont="1" applyFill="1" applyBorder="1" applyAlignment="1">
      <x:alignment vertical="top" wrapText="1"/>
    </x:xf>
    <x:xf numFmtId="205" fontId="1" fillId="0" borderId="0" xfId="0" applyNumberFormat="1" applyFont="1" applyFill="1" applyBorder="1" applyAlignment="1">
      <x:alignment vertical="top" wrapText="1"/>
    </x:xf>
    <x:xf numFmtId="206" fontId="1" fillId="0" borderId="0" xfId="0" applyNumberFormat="1" applyFont="1" applyFill="1" applyBorder="1" applyAlignment="1">
      <x:alignment vertical="top" wrapText="1"/>
    </x:xf>
    <x:xf numFmtId="207" fontId="1" fillId="0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205" fontId="4" fillId="0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96c5e18fc74033" /><Relationship Type="http://schemas.openxmlformats.org/officeDocument/2006/relationships/theme" Target="/xl/theme/theme1.xml" Id="Rcc7a29de8f734d5d" /><Relationship Type="http://schemas.openxmlformats.org/officeDocument/2006/relationships/sharedStrings" Target="/xl/sharedStrings.xml" Id="R5158ea695f1f4a02" /><Relationship Type="http://schemas.openxmlformats.org/officeDocument/2006/relationships/worksheet" Target="/xl/worksheets/sheet1.xml" Id="Rf9f8cbba950440bc" /><Relationship Type="http://schemas.openxmlformats.org/officeDocument/2006/relationships/worksheet" Target="/xl/worksheets/sheet2.xml" Id="Rd25333f8a8054716" /><Relationship Type="http://schemas.openxmlformats.org/officeDocument/2006/relationships/worksheet" Target="/xl/worksheets/sheet3.xml" Id="R68ee27f58f654c0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20" hidden="0" customWidth="1"/>
    <x:col min="3" max="3" width="4" hidden="0" customWidth="1"/>
    <x:col min="4" max="4" width="65" hidden="0" customWidth="1"/>
  </x:cols>
  <x:sheetData>
    <x:row r="1" ht="33" customHeight="1">
      <x:c r="A1" s="5" t="str">
        <x:v>Inspection pilot</x:v>
      </x:c>
      <x:c r="B1" s="3"/>
      <x:c r="C1" s="3"/>
      <x:c r="D1" s="3"/>
    </x:row>
    <x:row r="2" ht="27" customHeight="1">
      <x:c r="A2" s="3" t="str">
        <x:v>Fictional counts. Independently verified good and defective parts.</x:v>
      </x:c>
      <x:c r="B2" s="3"/>
      <x:c r="C2" s="3"/>
      <x:c r="D2" s="3"/>
    </x:row>
    <x:row r="3" ht="27" customHeight="1">
      <x:c r="A3" s="3"/>
      <x:c r="B3" s="3"/>
      <x:c r="C3" s="3"/>
      <x:c r="D3" s="3"/>
    </x:row>
    <x:row r="4" ht="52" customHeight="1">
      <x:c r="A4" s="8" t="str">
        <x:v>Outcome</x:v>
      </x:c>
      <x:c r="B4" s="9" t="str">
        <x:v>Parts</x:v>
      </x:c>
      <x:c r="C4" s="3"/>
      <x:c r="D4" s="3" t="str">
        <x:v>Amber cells are editable.</x:v>
      </x:c>
    </x:row>
    <x:row r="5" ht="52" customHeight="1">
      <x:c r="A5" s="3" t="str">
        <x:v>Defective and flagged</x:v>
      </x:c>
      <x:c r="B5" s="10" t="n">
        <x:v>95</x:v>
      </x:c>
      <x:c r="C5" s="3"/>
      <x:c r="D5" s="3" t="str">
        <x:v>Detection rate divides catches by defective parts.</x:v>
      </x:c>
    </x:row>
    <x:row r="6" ht="52" customHeight="1">
      <x:c r="A6" s="3" t="str">
        <x:v>Defective and missed</x:v>
      </x:c>
      <x:c r="B6" s="10" t="n">
        <x:v>5</x:v>
      </x:c>
      <x:c r="C6" s="3"/>
      <x:c r="D6" s="3" t="str">
        <x:v>False positive rate divides false alarms by good parts.</x:v>
      </x:c>
    </x:row>
    <x:row r="7" ht="52" customHeight="1">
      <x:c r="A7" s="3" t="str">
        <x:v>Good and flagged</x:v>
      </x:c>
      <x:c r="B7" s="10" t="n">
        <x:v>198</x:v>
      </x:c>
      <x:c r="C7" s="3"/>
      <x:c r="D7" s="3" t="str">
        <x:v>Precision divides catches by all flags.</x:v>
      </x:c>
    </x:row>
    <x:row r="8" ht="52" customHeight="1">
      <x:c r="A8" s="3" t="str">
        <x:v>Good and passed</x:v>
      </x:c>
      <x:c r="B8" s="10" t="n">
        <x:v>9702</x:v>
      </x:c>
      <x:c r="C8" s="3"/>
      <x:c r="D8" s="3" t="str">
        <x:v>Verify missed defects as well as flagged parts.</x:v>
      </x:c>
    </x:row>
    <x:row r="9" ht="52" customHeight="1">
      <x:c r="A9" s="3"/>
      <x:c r="B9" s="3"/>
      <x:c r="C9" s="3"/>
      <x:c r="D9" s="3" t="str">
        <x:v>The annual case uses separate assumptions. Pilot figures are not automatically a production forecast.</x:v>
      </x:c>
    </x:row>
    <x:row r="10" ht="27" customHeight="1">
      <x:c r="A10" s="3" t="str">
        <x:v>Total inspected</x:v>
      </x:c>
      <x:c r="B10" s="11" t="n">
        <x:f>IF(B20="Valid counts",SUM(B5:B8),"Check counts")</x:f>
        <x:v>10000</x:v>
      </x:c>
      <x:c r="C10" s="3"/>
      <x:c r="D10" s="3"/>
    </x:row>
    <x:row r="11" ht="27" customHeight="1">
      <x:c r="A11" s="3" t="str">
        <x:v>Defective parts</x:v>
      </x:c>
      <x:c r="B11" s="11" t="n">
        <x:f>IF(B20="Valid counts",SUM(B5:B6),"Check counts")</x:f>
        <x:v>100</x:v>
      </x:c>
      <x:c r="C11" s="3"/>
      <x:c r="D11" s="3"/>
    </x:row>
    <x:row r="12" ht="27" customHeight="1">
      <x:c r="A12" s="3" t="str">
        <x:v>Good parts</x:v>
      </x:c>
      <x:c r="B12" s="11" t="n">
        <x:f>IF(B20="Valid counts",SUM(B7:B8),"Check counts")</x:f>
        <x:v>9900</x:v>
      </x:c>
      <x:c r="C12" s="3"/>
      <x:c r="D12" s="3"/>
    </x:row>
    <x:row r="13" ht="27" customHeight="1">
      <x:c r="A13" s="3" t="str">
        <x:v>All flagged parts</x:v>
      </x:c>
      <x:c r="B13" s="11" t="n">
        <x:f>IF(B20="Valid counts",B5+B7,"Check counts")</x:f>
        <x:v>293</x:v>
      </x:c>
      <x:c r="C13" s="3"/>
      <x:c r="D13" s="3"/>
    </x:row>
    <x:row r="14" ht="27" customHeight="1">
      <x:c r="A14" s="3" t="str">
        <x:v>Classification accuracy</x:v>
      </x:c>
      <x:c r="B14" s="12" t="n">
        <x:f>IF(B20&lt;&gt;"Valid counts","Check counts",IF(B10=0,"Undefined",(B5+B8)/B10))</x:f>
        <x:v>0.9797</x:v>
      </x:c>
      <x:c r="C14" s="3"/>
      <x:c r="D14" s="3"/>
    </x:row>
    <x:row r="15" ht="27" customHeight="1">
      <x:c r="A15" s="3" t="str">
        <x:v>Detection rate</x:v>
      </x:c>
      <x:c r="B15" s="12" t="n">
        <x:f>IF(B20&lt;&gt;"Valid counts","Check counts",IF(B11=0,"Undefined",(B5)/B11))</x:f>
        <x:v>0.95</x:v>
      </x:c>
      <x:c r="C15" s="3"/>
      <x:c r="D15" s="3"/>
    </x:row>
    <x:row r="16" ht="27" customHeight="1">
      <x:c r="A16" s="3" t="str">
        <x:v>False positive rate</x:v>
      </x:c>
      <x:c r="B16" s="12" t="n">
        <x:f>IF(B20&lt;&gt;"Valid counts","Check counts",IF(B12=0,"Undefined",(B7)/B12))</x:f>
        <x:v>0.02</x:v>
      </x:c>
      <x:c r="C16" s="3"/>
      <x:c r="D16" s="3"/>
    </x:row>
    <x:row r="17" ht="27" customHeight="1">
      <x:c r="A17" s="3" t="str">
        <x:v>Precision</x:v>
      </x:c>
      <x:c r="B17" s="12" t="n">
        <x:f>IF(B20&lt;&gt;"Valid counts","Check counts",IF(B13=0,"Undefined",(B5)/B13))</x:f>
        <x:v>0.3242320819112628</x:v>
      </x:c>
      <x:c r="C17" s="3"/>
      <x:c r="D17" s="3"/>
    </x:row>
    <x:row r="18" ht="27" customHeight="1">
      <x:c r="A18" s="3"/>
      <x:c r="B18" s="3"/>
      <x:c r="C18" s="3"/>
      <x:c r="D18" s="3"/>
    </x:row>
    <x:row r="19" ht="27" customHeight="1">
      <x:c r="A19" s="3"/>
      <x:c r="B19" s="3"/>
      <x:c r="C19" s="3"/>
      <x:c r="D19" s="3"/>
    </x:row>
    <x:row r="20" ht="27" customHeight="1">
      <x:c r="A20" s="3" t="str">
        <x:v>Input check</x:v>
      </x:c>
      <x:c r="B20" s="3" t="str">
        <x:f>IF(COUNT(B5:B8)&lt;4,"Missing counts",IF(OR(MIN(B5:B8)&lt;0,B5&lt;&gt;INT(B5),B6&lt;&gt;INT(B6),B7&lt;&gt;INT(B7),B8&lt;&gt;INT(B8)),"Use nonnegative integers","Valid counts"))</x:f>
        <x:v>Valid counts</x:v>
      </x:c>
      <x:c r="C20" s="3"/>
      <x:c r="D20" s="3"/>
    </x:row>
    <x:row r="21" ht="27" customHeight="1">
      <x:c r="A21" s="3"/>
      <x:c r="B21" s="3"/>
      <x:c r="C21" s="3"/>
      <x:c r="D21" s="3"/>
    </x:row>
    <x:row r="22" ht="27" customHeight="1">
      <x:c r="A22" s="3"/>
      <x:c r="B22" s="3"/>
      <x:c r="C22" s="3"/>
      <x:c r="D22" s="3"/>
    </x:row>
    <x:row r="23" ht="27" customHeight="1">
      <x:c r="A23" s="3" t="str">
        <x:v>Definitions</x:v>
      </x:c>
      <x:c r="B23" s="3" t="str">
        <x:v>https://developers.google.com/machine-learning/crash-course/classification/accuracy-precision-recall</x:v>
      </x:c>
      <x:c r="C23" s="3"/>
      <x:c r="D23" s="3"/>
    </x:row>
    <x:row r="24" ht="27" customHeight="1">
      <x:c r="A24" s="3"/>
      <x:c r="B24" s="3"/>
      <x:c r="C24" s="3"/>
      <x:c r="D24" s="3"/>
    </x:row>
    <x:row r="25" ht="27" customHeight="1">
      <x:c r="A25" s="3"/>
      <x:c r="B25" s="3"/>
      <x:c r="C25" s="3"/>
      <x:c r="D25" s="3"/>
    </x:row>
  </x:sheetData>
  <x:mergeCells>
    <x:mergeCell ref="A2:D2"/>
    <x:mergeCell ref="B23:D2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9" hidden="0" customWidth="1"/>
    <x:col min="2" max="2" width="21" hidden="0" customWidth="1"/>
    <x:col min="3" max="3" width="21" hidden="0" customWidth="1"/>
    <x:col min="4" max="4" width="4" hidden="0" customWidth="1"/>
    <x:col min="5" max="5" width="68" hidden="0" customWidth="1"/>
  </x:cols>
  <x:sheetData>
    <x:row r="1" ht="33" customHeight="1">
      <x:c r="A1" s="5" t="str">
        <x:v>Annual inspection business case</x:v>
      </x:c>
      <x:c r="B1" s="3"/>
      <x:c r="C1" s="3"/>
      <x:c r="D1" s="3"/>
      <x:c r="E1" s="3"/>
    </x:row>
    <x:row r="2" ht="27" customHeight="1">
      <x:c r="A2" s="3" t="str">
        <x:v>Fictional annual assumptions. EUR. Same products, volume and defect prevalence.</x:v>
      </x:c>
      <x:c r="B2" s="3"/>
      <x:c r="C2" s="3"/>
      <x:c r="D2" s="3"/>
      <x:c r="E2" s="3"/>
    </x:row>
    <x:row r="3" ht="27" customHeight="1">
      <x:c r="A3" s="3"/>
      <x:c r="B3" s="3"/>
      <x:c r="C3" s="3"/>
      <x:c r="D3" s="3"/>
      <x:c r="E3" s="3"/>
    </x:row>
    <x:row r="4" ht="50" customHeight="1">
      <x:c r="A4" s="8" t="str">
        <x:v>Input</x:v>
      </x:c>
      <x:c r="B4" s="13" t="str">
        <x:v>Current process</x:v>
      </x:c>
      <x:c r="C4" s="9" t="str">
        <x:v>Proposed AI</x:v>
      </x:c>
      <x:c r="D4" s="3"/>
      <x:c r="E4" s="3" t="str">
        <x:v>Inputs and consequences</x:v>
      </x:c>
    </x:row>
    <x:row r="5" ht="50" customHeight="1">
      <x:c r="A5" s="3" t="str">
        <x:v>Annual parts</x:v>
      </x:c>
      <x:c r="B5" s="16" t="n">
        <x:v>1000000</x:v>
      </x:c>
      <x:c r="C5" s="11" t="n">
        <x:f>B5</x:f>
        <x:v>1000000</x:v>
      </x:c>
      <x:c r="D5" s="3"/>
      <x:c r="E5" s="3" t="str">
        <x:v>Amber cells are editable. Shared inputs are linked to the current-process column.</x:v>
      </x:c>
    </x:row>
    <x:row r="6" ht="50" customHeight="1">
      <x:c r="A6" s="3" t="str">
        <x:v>Defect prevalence</x:v>
      </x:c>
      <x:c r="B6" s="14" t="n">
        <x:v>0.01</x:v>
      </x:c>
      <x:c r="C6" s="15" t="n">
        <x:f>B6</x:f>
        <x:v>0.01</x:v>
      </x:c>
      <x:c r="D6" s="3"/>
      <x:c r="E6" s="3" t="str">
        <x:v>Counts annualise rates. Fractional expected counts are allowed.</x:v>
      </x:c>
    </x:row>
    <x:row r="7" ht="50" customHeight="1">
      <x:c r="A7" s="3" t="str">
        <x:v>Detection rate</x:v>
      </x:c>
      <x:c r="B7" s="14" t="n">
        <x:v>0.8</x:v>
      </x:c>
      <x:c r="C7" s="14" t="n">
        <x:v>0.95</x:v>
      </x:c>
      <x:c r="D7" s="3"/>
      <x:c r="E7" s="3" t="str">
        <x:v>Every flagged part receives one review, including true defects.</x:v>
      </x:c>
    </x:row>
    <x:row r="8" ht="50" customHeight="1">
      <x:c r="A8" s="3" t="str">
        <x:v>False positive rate</x:v>
      </x:c>
      <x:c r="B8" s="14" t="n">
        <x:v>0.005</x:v>
      </x:c>
      <x:c r="C8" s="14" t="n">
        <x:v>0.02</x:v>
      </x:c>
      <x:c r="D8" s="3"/>
      <x:c r="E8" s="3" t="str">
        <x:v>Escapes cost EUR 30 more than normal defect resolution in this example.</x:v>
      </x:c>
    </x:row>
    <x:row r="9" ht="50" customHeight="1">
      <x:c r="A9" s="3" t="str">
        <x:v>Added cost per missed defect (EUR)</x:v>
      </x:c>
      <x:c r="B9" s="17" t="n">
        <x:v>30</x:v>
      </x:c>
      <x:c r="C9" s="18" t="n">
        <x:f>B9</x:f>
        <x:v>30</x:v>
      </x:c>
      <x:c r="D9" s="3"/>
      <x:c r="E9" s="3" t="str">
        <x:v>Unchanged defect-resolution costs cancel out. Count costs once.</x:v>
      </x:c>
    </x:row>
    <x:row r="10" ht="50" customHeight="1">
      <x:c r="A10" s="3" t="str">
        <x:v>Review cost per flagged part (EUR)</x:v>
      </x:c>
      <x:c r="B10" s="17" t="n">
        <x:v>1</x:v>
      </x:c>
      <x:c r="C10" s="18" t="n">
        <x:f>B10</x:f>
        <x:v>1</x:v>
      </x:c>
      <x:c r="D10" s="3"/>
      <x:c r="E10" s="3" t="str">
        <x:v>EUR 20,000 assumes overtime is actually removed. Released capacity alone is not cash.</x:v>
      </x:c>
    </x:row>
    <x:row r="11" ht="50" customHeight="1">
      <x:c r="A11" s="3" t="str">
        <x:v>Routine overtime avoided per year</x:v>
      </x:c>
      <x:c r="B11" s="18"/>
      <x:c r="C11" s="17" t="n">
        <x:v>20000</x:v>
      </x:c>
      <x:c r="D11" s="3"/>
      <x:c r="E11" s="3" t="str">
        <x:v>Recurring system costs include licences, maintenance and monitoring.</x:v>
      </x:c>
    </x:row>
    <x:row r="12" ht="50" customHeight="1">
      <x:c r="A12" s="3" t="str">
        <x:v>Additional annual system cost</x:v>
      </x:c>
      <x:c r="B12" s="18"/>
      <x:c r="C12" s="17" t="n">
        <x:v>24000</x:v>
      </x:c>
      <x:c r="D12" s="3"/>
      <x:c r="E12" s="3" t="str">
        <x:v>Initial costs include equipment and integration.</x:v>
      </x:c>
    </x:row>
    <x:row r="13" ht="50" customHeight="1">
      <x:c r="A13" s="3" t="str">
        <x:v>Upfront investment</x:v>
      </x:c>
      <x:c r="B13" s="18"/>
      <x:c r="C13" s="17" t="n">
        <x:v>45000</x:v>
      </x:c>
      <x:c r="D13" s="3"/>
      <x:c r="E13" s="3" t="str">
        <x:v>Simple payback assumes immediate full run rate; excludes tax, financing and discounting.</x:v>
      </x:c>
    </x:row>
    <x:row r="14" ht="50" customHeight="1">
      <x:c r="A14" s="3" t="str">
        <x:v>Payback requirement (years)</x:v>
      </x:c>
      <x:c r="B14" s="3"/>
      <x:c r="C14" s="19" t="n">
        <x:v>2</x:v>
      </x:c>
      <x:c r="D14" s="3"/>
      <x:c r="E14" s="3" t="str">
        <x:v>A positive annual benefit can still leave a negative first-year result.</x:v>
      </x:c>
    </x:row>
    <x:row r="15" ht="27" customHeight="1">
      <x:c r="A15" s="3" t="str">
        <x:v>Defective parts</x:v>
      </x:c>
      <x:c r="B15" s="11" t="n">
        <x:f>IF($C$40="Valid inputs",B5*B6,"Check inputs")</x:f>
        <x:v>10000</x:v>
      </x:c>
      <x:c r="C15" s="11" t="n">
        <x:f>IF($C$40="Valid inputs",C5*C6,"Check inputs")</x:f>
        <x:v>10000</x:v>
      </x:c>
      <x:c r="D15" s="3"/>
      <x:c r="E15" s="3"/>
    </x:row>
    <x:row r="16" ht="27" customHeight="1">
      <x:c r="A16" s="3" t="str">
        <x:v>Good parts</x:v>
      </x:c>
      <x:c r="B16" s="11" t="n">
        <x:f>IF($C$40="Valid inputs",B5-B15,"Check inputs")</x:f>
        <x:v>990000</x:v>
      </x:c>
      <x:c r="C16" s="11" t="n">
        <x:f>IF($C$40="Valid inputs",C5-C15,"Check inputs")</x:f>
        <x:v>990000</x:v>
      </x:c>
      <x:c r="D16" s="3"/>
      <x:c r="E16" s="3"/>
    </x:row>
    <x:row r="17" ht="27" customHeight="1">
      <x:c r="A17" s="3"/>
      <x:c r="B17" s="11"/>
      <x:c r="C17" s="11"/>
      <x:c r="D17" s="3"/>
      <x:c r="E17" s="3"/>
    </x:row>
    <x:row r="18" ht="27" customHeight="1">
      <x:c r="A18" s="3" t="str">
        <x:v>Defects caught</x:v>
      </x:c>
      <x:c r="B18" s="11" t="n">
        <x:f>IF($C$40="Valid inputs",B15*B7,"Check inputs")</x:f>
        <x:v>8000</x:v>
      </x:c>
      <x:c r="C18" s="11" t="n">
        <x:f>IF($C$40="Valid inputs",C15*C7,"Check inputs")</x:f>
        <x:v>9500</x:v>
      </x:c>
      <x:c r="D18" s="3"/>
      <x:c r="E18" s="3" t="str">
        <x:v>Thresholds hold detection and all other inputs fixed. A negative threshold means even zero false alarms misses the target; above 100% means every feasible rate meets it.</x:v>
      </x:c>
    </x:row>
    <x:row r="19" ht="27" customHeight="1">
      <x:c r="A19" s="3" t="str">
        <x:v>Defects missed</x:v>
      </x:c>
      <x:c r="B19" s="11" t="n">
        <x:f>IF($C$40="Valid inputs",B15-B18,"Check inputs")</x:f>
        <x:v>2000</x:v>
      </x:c>
      <x:c r="C19" s="11" t="n">
        <x:f>IF($C$40="Valid inputs",C15-C18,"Check inputs")</x:f>
        <x:v>500</x:v>
      </x:c>
      <x:c r="D19" s="3"/>
      <x:c r="E19" s="3"/>
    </x:row>
    <x:row r="20" ht="27" customHeight="1">
      <x:c r="A20" s="3" t="str">
        <x:v>Good parts flagged</x:v>
      </x:c>
      <x:c r="B20" s="11" t="n">
        <x:f>IF($C$40="Valid inputs",B16*B8,"Check inputs")</x:f>
        <x:v>4950</x:v>
      </x:c>
      <x:c r="C20" s="11" t="n">
        <x:f>IF($C$40="Valid inputs",C16*C8,"Check inputs")</x:f>
        <x:v>19800</x:v>
      </x:c>
      <x:c r="D20" s="3"/>
      <x:c r="E20" s="3"/>
    </x:row>
    <x:row r="21" ht="27" customHeight="1">
      <x:c r="A21" s="3" t="str">
        <x:v>All flagged parts reviewed</x:v>
      </x:c>
      <x:c r="B21" s="11" t="n">
        <x:f>IF($C$40="Valid inputs",B18+B20,"Check inputs")</x:f>
        <x:v>12950</x:v>
      </x:c>
      <x:c r="C21" s="11" t="n">
        <x:f>IF($C$40="Valid inputs",C18+C20,"Check inputs")</x:f>
        <x:v>29300</x:v>
      </x:c>
      <x:c r="D21" s="3"/>
      <x:c r="E21" s="3"/>
    </x:row>
    <x:row r="22" ht="27" customHeight="1">
      <x:c r="A22" s="3" t="str">
        <x:v>Downstream escape cost</x:v>
      </x:c>
      <x:c r="B22" s="20" t="n">
        <x:f>IF($C$40="Valid inputs",B19*B9,"Check inputs")</x:f>
        <x:v>60000</x:v>
      </x:c>
      <x:c r="C22" s="20" t="n">
        <x:f>IF($C$40="Valid inputs",C19*C9,"Check inputs")</x:f>
        <x:v>15000</x:v>
      </x:c>
      <x:c r="D22" s="3"/>
      <x:c r="E22" s="3"/>
    </x:row>
    <x:row r="23" ht="27" customHeight="1">
      <x:c r="A23" s="3" t="str">
        <x:v>Review cost</x:v>
      </x:c>
      <x:c r="B23" s="20" t="n">
        <x:f>IF($C$40="Valid inputs",B21*B10,"Check inputs")</x:f>
        <x:v>12950</x:v>
      </x:c>
      <x:c r="C23" s="20" t="n">
        <x:f>IF($C$40="Valid inputs",C21*C10,"Check inputs")</x:f>
        <x:v>29300</x:v>
      </x:c>
      <x:c r="D23" s="3"/>
      <x:c r="E23" s="3"/>
    </x:row>
    <x:row r="24" ht="27" customHeight="1">
      <x:c r="A24" s="3" t="str">
        <x:v>Operating cost of these outcomes</x:v>
      </x:c>
      <x:c r="B24" s="20" t="n">
        <x:f>IF($C$40="Valid inputs",SUM(B22:B23),"Check inputs")</x:f>
        <x:v>72950</x:v>
      </x:c>
      <x:c r="C24" s="20" t="n">
        <x:f>IF($C$40="Valid inputs",SUM(C22:C23),"Check inputs")</x:f>
        <x:v>44300</x:v>
      </x:c>
      <x:c r="D24" s="3"/>
      <x:c r="E24" s="3" t="str">
        <x:v>First-year ROI = first-year net benefit / upfront investment. The requirement margin follows the editable payback target.</x:v>
      </x:c>
    </x:row>
    <x:row r="25" ht="27" customHeight="1">
      <x:c r="A25" s="23" t="str">
        <x:v>Incremental annual net benefit</x:v>
      </x:c>
      <x:c r="B25" s="24"/>
      <x:c r="C25" s="24" t="n">
        <x:f>IF(C40="Valid inputs",B24-C24+C11-C12,"Check inputs")</x:f>
        <x:v>24650</x:v>
      </x:c>
      <x:c r="D25" s="3"/>
      <x:c r="E25" s="3"/>
    </x:row>
    <x:row r="26" ht="27" customHeight="1">
      <x:c r="A26" s="3"/>
      <x:c r="B26" s="3"/>
      <x:c r="C26" s="3"/>
      <x:c r="D26" s="3"/>
      <x:c r="E26" s="3"/>
    </x:row>
    <x:row r="27" ht="27" customHeight="1">
      <x:c r="A27" s="3" t="str">
        <x:v>Simple payback (years)</x:v>
      </x:c>
      <x:c r="B27" s="3"/>
      <x:c r="C27" s="21" t="n">
        <x:f>IF(C40&lt;&gt;"Valid inputs","Check inputs",IF(C25&lt;=0,"No positive payback",C13/C25))</x:f>
        <x:v>1.8255578093306288</x:v>
      </x:c>
      <x:c r="D27" s="3"/>
      <x:c r="E27" s="3"/>
    </x:row>
    <x:row r="28" ht="27" customHeight="1">
      <x:c r="A28" s="3" t="str">
        <x:v>First-year net benefit</x:v>
      </x:c>
      <x:c r="B28" s="3"/>
      <x:c r="C28" s="20" t="n">
        <x:f>IF(C40="Valid inputs",C25-C13,"Check inputs")</x:f>
        <x:v>-20350</x:v>
      </x:c>
      <x:c r="D28" s="3"/>
      <x:c r="E28" s="3"/>
    </x:row>
    <x:row r="29" ht="27" customHeight="1">
      <x:c r="A29" s="3" t="str">
        <x:v>First-year return on initial investment</x:v>
      </x:c>
      <x:c r="B29" s="3"/>
      <x:c r="C29" s="22" t="n">
        <x:f>IF(C40&lt;&gt;"Valid inputs","Check inputs",IF(C13=0,"Undefined: zero investment",C28/C13))</x:f>
        <x:v>-0.45222222222222225</x:v>
      </x:c>
      <x:c r="D29" s="3"/>
      <x:c r="E29" s="3"/>
    </x:row>
    <x:row r="30" ht="27" customHeight="1">
      <x:c r="A30" s="3" t="str">
        <x:v>Annual benefit required for target</x:v>
      </x:c>
      <x:c r="B30" s="3"/>
      <x:c r="C30" s="20" t="n">
        <x:f>IF(C40="Valid inputs",C13/C14,"Check inputs")</x:f>
        <x:v>22500</x:v>
      </x:c>
      <x:c r="D30" s="3"/>
      <x:c r="E30" s="3"/>
    </x:row>
    <x:row r="31" ht="27" customHeight="1">
      <x:c r="A31" s="3" t="str">
        <x:v>Maximum AI false positive rate for target</x:v>
      </x:c>
      <x:c r="B31" s="3"/>
      <x:c r="C31" s="12" t="n">
        <x:f>IF(C40&lt;&gt;"Valid inputs","Check inputs",IF(C16*C10=0,"No rate threshold",(B24+C11-C12-C22-C18*C10-C30)/(C16*C10)))</x:f>
        <x:v>0.022171717171717172</x:v>
      </x:c>
      <x:c r="D31" s="3"/>
      <x:c r="E31" s="3"/>
    </x:row>
    <x:row r="32" ht="27" customHeight="1">
      <x:c r="A32" s="3" t="str">
        <x:v>Maximum rate for positive annual benefit</x:v>
      </x:c>
      <x:c r="B32" s="3"/>
      <x:c r="C32" s="12" t="n">
        <x:f>IF(C40&lt;&gt;"Valid inputs","Check inputs",IF(C16*C10=0,"No rate threshold",(B24+C11-C12-C22-C18*C10-0)/(C16*C10)))</x:f>
        <x:v>0.0448989898989899</x:v>
      </x:c>
      <x:c r="D32" s="3"/>
      <x:c r="E32" s="3"/>
    </x:row>
    <x:row r="33" ht="27" customHeight="1">
      <x:c r="A33" s="3" t="str">
        <x:v>Payback requirement margin (EUR/year)</x:v>
      </x:c>
      <x:c r="B33" s="3"/>
      <x:c r="C33" s="18" t="n">
        <x:f>IF(C40="Valid inputs",C25-C30,"Check inputs")</x:f>
        <x:v>2150</x:v>
      </x:c>
      <x:c r="D33" s="3"/>
      <x:c r="E33" s="3"/>
    </x:row>
    <x:row r="34" ht="27" customHeight="1">
      <x:c r="A34" s="3"/>
      <x:c r="B34" s="3"/>
      <x:c r="C34" s="3"/>
      <x:c r="D34" s="3"/>
      <x:c r="E34" s="3"/>
    </x:row>
    <x:row r="35" ht="27" customHeight="1">
      <x:c r="A35" s="3"/>
      <x:c r="B35" s="3"/>
      <x:c r="C35" s="3"/>
      <x:c r="D35" s="3"/>
      <x:c r="E35" s="3"/>
    </x:row>
    <x:row r="36" ht="27" customHeight="1">
      <x:c r="A36" s="3" t="str">
        <x:v>Manufacturing AI</x:v>
      </x:c>
      <x:c r="B36" s="3" t="str">
        <x:v>https://www.nist.gov/blogs/manufacturing-innovation-blog/artificial-intelligence-manufacturing-real-world-success-stories</x:v>
      </x:c>
      <x:c r="C36" s="3"/>
      <x:c r="D36" s="3"/>
      <x:c r="E36" s="3"/>
    </x:row>
    <x:row r="37" ht="27" customHeight="1">
      <x:c r="A37" s="3"/>
      <x:c r="B37" s="3"/>
      <x:c r="C37" s="3"/>
      <x:c r="D37" s="3"/>
      <x:c r="E37" s="3"/>
    </x:row>
    <x:row r="38" ht="27" customHeight="1">
      <x:c r="A38" s="3"/>
      <x:c r="B38" s="3"/>
      <x:c r="C38" s="3"/>
      <x:c r="D38" s="3"/>
      <x:c r="E38" s="3"/>
    </x:row>
    <x:row r="39" ht="27" customHeight="1">
      <x:c r="A39" s="3"/>
      <x:c r="B39" s="3"/>
      <x:c r="C39" s="3"/>
      <x:c r="D39" s="3"/>
      <x:c r="E39" s="3"/>
    </x:row>
    <x:row r="40" ht="27" customHeight="1">
      <x:c r="A40" s="3" t="str">
        <x:v>Input check</x:v>
      </x:c>
      <x:c r="B40" s="3"/>
      <x:c r="C40" s="3" t="str">
        <x:f>IF(COUNT(B5:B10,C7:C8,C11:C14)&lt;12,"Missing numeric input",IF(OR(B5&lt;=0,B5&lt;&gt;INT(B5),MIN(B6:B8,C7:C8)&lt;0,MAX(B6:B8,C7:C8)&gt;1,MIN(B9:B10,C11:C13)&lt;0,C14&lt;=0),"Check volume, rates or costs","Valid inputs"))</x:f>
        <x:v>Valid inputs</x:v>
      </x:c>
      <x:c r="D40" s="3"/>
      <x:c r="E40" s="3"/>
    </x:row>
    <x:row r="41" ht="27" customHeight="1">
      <x:c r="A41" s="3"/>
      <x:c r="B41" s="3"/>
      <x:c r="C41" s="3"/>
      <x:c r="D41" s="3"/>
      <x:c r="E41" s="3"/>
    </x:row>
    <x:row r="42" ht="27" customHeight="1">
      <x:c r="A42" s="3"/>
      <x:c r="B42" s="3"/>
      <x:c r="C42" s="3"/>
      <x:c r="D42" s="3"/>
      <x:c r="E42" s="3"/>
    </x:row>
    <x:row r="43" ht="27" customHeight="1">
      <x:c r="A43" s="3"/>
      <x:c r="B43" s="3"/>
      <x:c r="C43" s="3"/>
      <x:c r="D43" s="3"/>
      <x:c r="E43" s="3"/>
    </x:row>
  </x:sheetData>
  <x:mergeCells>
    <x:mergeCell ref="A2:E2"/>
    <x:mergeCell ref="E18:E21"/>
    <x:mergeCell ref="E24:E27"/>
    <x:mergeCell ref="B36:E3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22" hidden="0" customWidth="1"/>
    <x:col min="3" max="3" width="22" hidden="0" customWidth="1"/>
    <x:col min="4" max="4" width="22" hidden="0" customWidth="1"/>
    <x:col min="5" max="5" width="28" hidden="0" customWidth="1"/>
    <x:col min="6" max="6" width="28" hidden="0" customWidth="1"/>
  </x:cols>
  <x:sheetData>
    <x:row r="1" ht="33" customHeight="1">
      <x:c r="A1" s="5" t="str">
        <x:v>Inspection sensitivity</x:v>
      </x:c>
      <x:c r="B1" s="3"/>
      <x:c r="C1" s="3"/>
      <x:c r="D1" s="3"/>
      <x:c r="E1" s="3"/>
      <x:c r="F1" s="3"/>
    </x:row>
    <x:row r="2" ht="27" customHeight="1">
      <x:c r="A2" s="3" t="str">
        <x:v>Fictional scenarios. Links to Annual case. Change one rate at a time.</x:v>
      </x:c>
      <x:c r="B2" s="3"/>
      <x:c r="C2" s="3"/>
      <x:c r="D2" s="3"/>
      <x:c r="E2" s="3"/>
      <x:c r="F2" s="3"/>
    </x:row>
    <x:row r="3" ht="27" customHeight="1">
      <x:c r="A3" s="3"/>
      <x:c r="B3" s="3"/>
      <x:c r="C3" s="3"/>
      <x:c r="D3" s="3"/>
      <x:c r="E3" s="3"/>
      <x:c r="F3" s="3"/>
    </x:row>
    <x:row r="4" ht="36" customHeight="1">
      <x:c r="A4" s="8" t="str">
        <x:v>AI false positive rate</x:v>
      </x:c>
      <x:c r="B4" s="13" t="str">
        <x:v>Annual net benefit</x:v>
      </x:c>
      <x:c r="C4" s="13" t="str">
        <x:v>Simple payback (years)</x:v>
      </x:c>
      <x:c r="D4" s="9" t="str">
        <x:v>First-year net benefit</x:v>
      </x:c>
      <x:c r="E4" s="3"/>
      <x:c r="F4" s="3"/>
    </x:row>
    <x:row r="5" ht="27" customHeight="1">
      <x:c r="A5" s="25" t="n">
        <x:v>0</x:v>
      </x:c>
      <x:c r="B5" s="20" t="n">
        <x:f>IF('Annual case'!$C$40&lt;&gt;"Valid inputs","Check annual inputs",IF(OR(A5&lt;0,A5&gt;1),"Check rate",ROUND('Annual case'!$B$24-'Annual case'!$C$22-('Annual case'!$C$18+'Annual case'!$C$16*A5)*'Annual case'!$C$10+'Annual case'!$C$11-'Annual case'!$C$12,2)))</x:f>
        <x:v>44450</x:v>
      </x:c>
      <x:c r="C5" s="21" t="n">
        <x:f>IF(ISNUMBER(B5),IF(B5&lt;=0,"No positive payback",'Annual case'!$C$13/B5),"Check inputs")</x:f>
        <x:v>1.0123734533183353</x:v>
      </x:c>
      <x:c r="D5" s="20" t="n">
        <x:f>IF(ISNUMBER(B5),B5-'Annual case'!$C$13,"Check inputs")</x:f>
        <x:v>-550</x:v>
      </x:c>
      <x:c r="E5" s="3"/>
      <x:c r="F5" s="3"/>
    </x:row>
    <x:row r="6" ht="27" customHeight="1">
      <x:c r="A6" s="25" t="n">
        <x:v>0.01</x:v>
      </x:c>
      <x:c r="B6" s="20" t="n">
        <x:f>IF('Annual case'!$C$40&lt;&gt;"Valid inputs","Check annual inputs",IF(OR(A6&lt;0,A6&gt;1),"Check rate",ROUND('Annual case'!$B$24-'Annual case'!$C$22-('Annual case'!$C$18+'Annual case'!$C$16*A6)*'Annual case'!$C$10+'Annual case'!$C$11-'Annual case'!$C$12,2)))</x:f>
        <x:v>34550</x:v>
      </x:c>
      <x:c r="C6" s="21" t="n">
        <x:f>IF(ISNUMBER(B6),IF(B6&lt;=0,"No positive payback",'Annual case'!$C$13/B6),"Check inputs")</x:f>
        <x:v>1.3024602026049203</x:v>
      </x:c>
      <x:c r="D6" s="20" t="n">
        <x:f>IF(ISNUMBER(B6),B6-'Annual case'!$C$13,"Check inputs")</x:f>
        <x:v>-10450</x:v>
      </x:c>
      <x:c r="E6" s="3"/>
      <x:c r="F6" s="3"/>
    </x:row>
    <x:row r="7" ht="27" customHeight="1">
      <x:c r="A7" s="25" t="n">
        <x:v>0.02</x:v>
      </x:c>
      <x:c r="B7" s="20" t="n">
        <x:f>IF('Annual case'!$C$40&lt;&gt;"Valid inputs","Check annual inputs",IF(OR(A7&lt;0,A7&gt;1),"Check rate",ROUND('Annual case'!$B$24-'Annual case'!$C$22-('Annual case'!$C$18+'Annual case'!$C$16*A7)*'Annual case'!$C$10+'Annual case'!$C$11-'Annual case'!$C$12,2)))</x:f>
        <x:v>24650</x:v>
      </x:c>
      <x:c r="C7" s="21" t="n">
        <x:f>IF(ISNUMBER(B7),IF(B7&lt;=0,"No positive payback",'Annual case'!$C$13/B7),"Check inputs")</x:f>
        <x:v>1.8255578093306288</x:v>
      </x:c>
      <x:c r="D7" s="20" t="n">
        <x:f>IF(ISNUMBER(B7),B7-'Annual case'!$C$13,"Check inputs")</x:f>
        <x:v>-20350</x:v>
      </x:c>
      <x:c r="E7" s="3"/>
      <x:c r="F7" s="3"/>
    </x:row>
    <x:row r="8" ht="27" customHeight="1">
      <x:c r="A8" s="25" t="n">
        <x:v>0.03</x:v>
      </x:c>
      <x:c r="B8" s="20" t="n">
        <x:f>IF('Annual case'!$C$40&lt;&gt;"Valid inputs","Check annual inputs",IF(OR(A8&lt;0,A8&gt;1),"Check rate",ROUND('Annual case'!$B$24-'Annual case'!$C$22-('Annual case'!$C$18+'Annual case'!$C$16*A8)*'Annual case'!$C$10+'Annual case'!$C$11-'Annual case'!$C$12,2)))</x:f>
        <x:v>14750</x:v>
      </x:c>
      <x:c r="C8" s="21" t="n">
        <x:f>IF(ISNUMBER(B8),IF(B8&lt;=0,"No positive payback",'Annual case'!$C$13/B8),"Check inputs")</x:f>
        <x:v>3.0508474576271185</x:v>
      </x:c>
      <x:c r="D8" s="20" t="n">
        <x:f>IF(ISNUMBER(B8),B8-'Annual case'!$C$13,"Check inputs")</x:f>
        <x:v>-30250</x:v>
      </x:c>
      <x:c r="E8" s="3"/>
      <x:c r="F8" s="3"/>
    </x:row>
    <x:row r="9" ht="27" customHeight="1">
      <x:c r="A9" s="25" t="n">
        <x:v>0.0448989898989899</x:v>
      </x:c>
      <x:c r="B9" s="20" t="n">
        <x:f>IF('Annual case'!$C$40&lt;&gt;"Valid inputs","Check annual inputs",IF(OR(A9&lt;0,A9&gt;1),"Check rate",ROUND('Annual case'!$B$24-'Annual case'!$C$22-('Annual case'!$C$18+'Annual case'!$C$16*A9)*'Annual case'!$C$10+'Annual case'!$C$11-'Annual case'!$C$12,2)))</x:f>
        <x:v>0</x:v>
      </x:c>
      <x:c r="C9" s="21" t="str">
        <x:f>IF(ISNUMBER(B9),IF(B9&lt;=0,"No positive payback",'Annual case'!$C$13/B9),"Check inputs")</x:f>
        <x:v>No positive payback</x:v>
      </x:c>
      <x:c r="D9" s="20" t="n">
        <x:f>IF(ISNUMBER(B9),B9-'Annual case'!$C$13,"Check inputs")</x:f>
        <x:v>-45000</x:v>
      </x:c>
      <x:c r="E9" s="3"/>
      <x:c r="F9" s="3"/>
    </x:row>
    <x:row r="10" ht="27" customHeight="1">
      <x:c r="A10" s="25" t="n">
        <x:v>0.05</x:v>
      </x:c>
      <x:c r="B10" s="20" t="n">
        <x:f>IF('Annual case'!$C$40&lt;&gt;"Valid inputs","Check annual inputs",IF(OR(A10&lt;0,A10&gt;1),"Check rate",ROUND('Annual case'!$B$24-'Annual case'!$C$22-('Annual case'!$C$18+'Annual case'!$C$16*A10)*'Annual case'!$C$10+'Annual case'!$C$11-'Annual case'!$C$12,2)))</x:f>
        <x:v>-5050</x:v>
      </x:c>
      <x:c r="C10" s="21" t="str">
        <x:f>IF(ISNUMBER(B10),IF(B10&lt;=0,"No positive payback",'Annual case'!$C$13/B10),"Check inputs")</x:f>
        <x:v>No positive payback</x:v>
      </x:c>
      <x:c r="D10" s="20" t="n">
        <x:f>IF(ISNUMBER(B10),B10-'Annual case'!$C$13,"Check inputs")</x:f>
        <x:v>-50050</x:v>
      </x:c>
      <x:c r="E10" s="3"/>
      <x:c r="F10" s="3"/>
    </x:row>
    <x:row r="11" ht="27" customHeight="1">
      <x:c r="A11" s="3"/>
      <x:c r="B11" s="3"/>
      <x:c r="C11" s="3"/>
      <x:c r="D11" s="3"/>
      <x:c r="E11" s="3"/>
      <x:c r="F11" s="3"/>
    </x:row>
    <x:row r="12" ht="27" customHeight="1">
      <x:c r="A12" s="3"/>
      <x:c r="B12" s="3"/>
      <x:c r="C12" s="3"/>
      <x:c r="D12" s="3"/>
      <x:c r="E12" s="3"/>
      <x:c r="F12" s="3"/>
    </x:row>
    <x:row r="13" ht="27" customHeight="1">
      <x:c r="A13" s="3" t="str">
        <x:v>Defect prevalence sensitivity</x:v>
      </x:c>
      <x:c r="B13" s="3"/>
      <x:c r="C13" s="3"/>
      <x:c r="D13" s="3"/>
      <x:c r="E13" s="3"/>
      <x:c r="F13" s="3"/>
    </x:row>
    <x:row r="14" ht="36" customHeight="1">
      <x:c r="A14" s="8" t="str">
        <x:v>Defect prevalence</x:v>
      </x:c>
      <x:c r="B14" s="13" t="str">
        <x:v>Annual net benefit</x:v>
      </x:c>
      <x:c r="C14" s="13" t="str">
        <x:v>Simple payback (years)</x:v>
      </x:c>
      <x:c r="D14" s="9" t="str">
        <x:v>First-year net benefit</x:v>
      </x:c>
      <x:c r="E14" s="3"/>
      <x:c r="F14" s="3"/>
    </x:row>
    <x:row r="15" ht="27" customHeight="1">
      <x:c r="A15" s="14" t="n">
        <x:v>0.005</x:v>
      </x:c>
      <x:c r="B15" s="18" t="n">
        <x:f>IF('Annual case'!$C$40&lt;&gt;"Valid inputs","Check annual inputs",IF(OR(A15&lt;0,A15&gt;1),"Check rate",'Annual case'!$B$5*A15*('Annual case'!$C$7-'Annual case'!$B$7)*'Annual case'!$B$9-('Annual case'!$B$5*A15*('Annual case'!$C$7-'Annual case'!$B$7)+'Annual case'!$B$5*(1-A15)*('Annual case'!$C$8-'Annual case'!$B$8))*'Annual case'!$B$10+'Annual case'!$C$11-'Annual case'!$C$12))</x:f>
        <x:v>2824.9999999999854</x:v>
      </x:c>
      <x:c r="C15" s="21" t="n">
        <x:f>IF(ISNUMBER(B15),IF(B15&lt;=0,"No positive payback",'Annual case'!$C$13/B15),"Check inputs")</x:f>
        <x:v>15.92920353982309</x:v>
      </x:c>
      <x:c r="D15" s="20" t="n">
        <x:f>IF(ISNUMBER(B15),B15-'Annual case'!$C$13,"Check inputs")</x:f>
        <x:v>-42175.000000000015</x:v>
      </x:c>
      <x:c r="E15" s="3"/>
      <x:c r="F15" s="3"/>
    </x:row>
    <x:row r="16" ht="27" customHeight="1">
      <x:c r="A16" s="14" t="n">
        <x:v>0.01</x:v>
      </x:c>
      <x:c r="B16" s="18" t="n">
        <x:f>IF('Annual case'!$C$40&lt;&gt;"Valid inputs","Check annual inputs",IF(OR(A16&lt;0,A16&gt;1),"Check rate",'Annual case'!$B$5*A16*('Annual case'!$C$7-'Annual case'!$B$7)*'Annual case'!$B$9-('Annual case'!$B$5*A16*('Annual case'!$C$7-'Annual case'!$B$7)+'Annual case'!$B$5*(1-A16)*('Annual case'!$C$8-'Annual case'!$B$8))*'Annual case'!$B$10+'Annual case'!$C$11-'Annual case'!$C$12))</x:f>
        <x:v>24649.99999999997</x:v>
      </x:c>
      <x:c r="C16" s="21" t="n">
        <x:f>IF(ISNUMBER(B16),IF(B16&lt;=0,"No positive payback",'Annual case'!$C$13/B16),"Check inputs")</x:f>
        <x:v>1.825557809330631</x:v>
      </x:c>
      <x:c r="D16" s="20" t="n">
        <x:f>IF(ISNUMBER(B16),B16-'Annual case'!$C$13,"Check inputs")</x:f>
        <x:v>-20350.00000000003</x:v>
      </x:c>
      <x:c r="E16" s="3"/>
      <x:c r="F16" s="3"/>
    </x:row>
    <x:row r="17" ht="27" customHeight="1">
      <x:c r="A17" s="14" t="n">
        <x:v>0.02</x:v>
      </x:c>
      <x:c r="B17" s="18" t="n">
        <x:f>IF('Annual case'!$C$40&lt;&gt;"Valid inputs","Check annual inputs",IF(OR(A17&lt;0,A17&gt;1),"Check rate",'Annual case'!$B$5*A17*('Annual case'!$C$7-'Annual case'!$B$7)*'Annual case'!$B$9-('Annual case'!$B$5*A17*('Annual case'!$C$7-'Annual case'!$B$7)+'Annual case'!$B$5*(1-A17)*('Annual case'!$C$8-'Annual case'!$B$8))*'Annual case'!$B$10+'Annual case'!$C$11-'Annual case'!$C$12))</x:f>
        <x:v>68299.99999999994</x:v>
      </x:c>
      <x:c r="C17" s="21" t="n">
        <x:f>IF(ISNUMBER(B17),IF(B17&lt;=0,"No positive payback",'Annual case'!$C$13/B17),"Check inputs")</x:f>
        <x:v>0.6588579795021967</x:v>
      </x:c>
      <x:c r="D17" s="20" t="n">
        <x:f>IF(ISNUMBER(B17),B17-'Annual case'!$C$13,"Check inputs")</x:f>
        <x:v>23299.99999999994</x:v>
      </x:c>
      <x:c r="E17" s="3"/>
      <x:c r="F17" s="3"/>
    </x:row>
    <x:row r="18" ht="27" customHeight="1">
      <x:c r="A18" s="3"/>
      <x:c r="B18" s="3"/>
      <x:c r="C18" s="3"/>
      <x:c r="D18" s="3"/>
      <x:c r="E18" s="3"/>
      <x:c r="F18" s="3"/>
    </x:row>
    <x:row r="19" ht="27" customHeight="1">
      <x:c r="A19" s="3"/>
      <x:c r="B19" s="3"/>
      <x:c r="C19" s="3"/>
      <x:c r="D19" s="3"/>
      <x:c r="E19" s="3"/>
      <x:c r="F19" s="3"/>
    </x:row>
    <x:row r="20" ht="27" customHeight="1">
      <x:c r="A20" s="3" t="str">
        <x:v>Rates are held fixed as prevalence changes. Actual performance can change with the production mix.</x:v>
      </x:c>
      <x:c r="B20" s="3"/>
      <x:c r="C20" s="3"/>
      <x:c r="D20" s="3"/>
      <x:c r="E20" s="3"/>
      <x:c r="F20" s="3"/>
    </x:row>
    <x:row r="21" ht="27" customHeight="1">
      <x:c r="A21" s="3"/>
      <x:c r="B21" s="3"/>
      <x:c r="C21" s="3"/>
      <x:c r="D21" s="3"/>
      <x:c r="E21" s="3"/>
      <x:c r="F21" s="3"/>
    </x:row>
    <x:row r="22" ht="27" customHeight="1">
      <x:c r="A22" s="3"/>
      <x:c r="B22" s="3"/>
      <x:c r="C22" s="3"/>
      <x:c r="D22" s="3"/>
      <x:c r="E22" s="3"/>
      <x:c r="F22" s="3"/>
    </x:row>
    <x:row r="23" ht="27" customHeight="1">
      <x:c r="A23" s="3" t="str">
        <x:v>The tables are sensitivity calculations, not claims that the model can change one rate independently.</x:v>
      </x:c>
      <x:c r="B23" s="3"/>
      <x:c r="C23" s="3"/>
      <x:c r="D23" s="3"/>
      <x:c r="E23" s="3"/>
      <x:c r="F23" s="3"/>
    </x:row>
    <x:row r="24" ht="27" customHeight="1">
      <x:c r="A24" s="3"/>
      <x:c r="B24" s="3"/>
      <x:c r="C24" s="3"/>
      <x:c r="D24" s="3"/>
      <x:c r="E24" s="3"/>
      <x:c r="F24" s="3"/>
    </x:row>
    <x:row r="25" ht="27" customHeight="1">
      <x:c r="A25" s="3"/>
      <x:c r="B25" s="3"/>
      <x:c r="C25" s="3"/>
      <x:c r="D25" s="3"/>
      <x:c r="E25" s="3"/>
      <x:c r="F25" s="3"/>
    </x:row>
    <x:row r="26" ht="27" customHeight="1">
      <x:c r="A26" s="3"/>
      <x:c r="B26" s="3"/>
      <x:c r="C26" s="3"/>
      <x:c r="D26" s="3"/>
      <x:c r="E26" s="3"/>
      <x:c r="F26" s="3"/>
    </x:row>
    <x:row r="27" ht="27" customHeight="1">
      <x:c r="A27" s="3"/>
      <x:c r="B27" s="3"/>
      <x:c r="C27" s="3"/>
      <x:c r="D27" s="3"/>
      <x:c r="E27" s="3"/>
      <x:c r="F27" s="3"/>
    </x:row>
    <x:row r="28" ht="27" customHeight="1">
      <x:c r="A28" s="3"/>
      <x:c r="B28" s="3"/>
      <x:c r="C28" s="3"/>
      <x:c r="D28" s="3"/>
      <x:c r="E28" s="3"/>
      <x:c r="F28" s="3"/>
    </x:row>
    <x:row r="29" ht="27" customHeight="1">
      <x:c r="A29" s="3"/>
      <x:c r="B29" s="3"/>
      <x:c r="C29" s="3"/>
      <x:c r="D29" s="3"/>
      <x:c r="E29" s="3"/>
      <x:c r="F29" s="3"/>
    </x:row>
    <x:row r="30" ht="27" customHeight="1">
      <x:c r="A30" s="3"/>
      <x:c r="B30" s="3"/>
      <x:c r="C30" s="3"/>
      <x:c r="D30" s="3"/>
      <x:c r="E30" s="3"/>
      <x:c r="F30" s="3"/>
    </x:row>
    <x:row r="31" ht="27" customHeight="1">
      <x:c r="A31" s="3"/>
      <x:c r="B31" s="3"/>
      <x:c r="C31" s="3"/>
      <x:c r="D31" s="3"/>
      <x:c r="E31" s="3"/>
      <x:c r="F31" s="3"/>
    </x:row>
    <x:row r="32" ht="27" customHeight="1">
      <x:c r="A32" s="3"/>
      <x:c r="B32" s="3"/>
      <x:c r="C32" s="3"/>
      <x:c r="D32" s="3"/>
      <x:c r="E32" s="3"/>
      <x:c r="F32" s="3"/>
    </x:row>
    <x:row r="33" ht="27" customHeight="1">
      <x:c r="A33" s="3"/>
      <x:c r="B33" s="3"/>
      <x:c r="C33" s="3"/>
      <x:c r="D33" s="3"/>
      <x:c r="E33" s="3"/>
      <x:c r="F33" s="3"/>
    </x:row>
  </x:sheetData>
  <x:mergeCells>
    <x:mergeCell ref="A2:F2"/>
    <x:mergeCell ref="A20:F21"/>
    <x:mergeCell ref="A23:F24"/>
  </x:mergeCells>
  <x:pageMargins left="0.7" right="0.7" top="0.75" bottom="0.75" header="0.3" footer="0.3"/>
</x:worksheet>
</file>